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4\"/>
    </mc:Choice>
  </mc:AlternateContent>
  <bookViews>
    <workbookView xWindow="-120" yWindow="-120" windowWidth="20730" windowHeight="11160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I10" i="1" l="1"/>
  <c r="I8" i="1"/>
  <c r="I9" i="1"/>
  <c r="H85" i="2" l="1"/>
  <c r="F85" i="2"/>
  <c r="E82" i="2"/>
  <c r="E79" i="2"/>
  <c r="D78" i="2"/>
  <c r="D50" i="2"/>
  <c r="D83" i="2" l="1"/>
  <c r="P48" i="2"/>
  <c r="N48" i="2"/>
  <c r="L63" i="2"/>
  <c r="I64" i="2"/>
  <c r="L53" i="2"/>
  <c r="I54" i="2"/>
  <c r="L47" i="2"/>
  <c r="I48" i="2"/>
  <c r="J19" i="2"/>
  <c r="I19" i="2"/>
  <c r="H19" i="2"/>
  <c r="G19" i="2"/>
  <c r="F19" i="2"/>
  <c r="E19" i="2"/>
  <c r="D19" i="2"/>
  <c r="D9" i="2"/>
  <c r="E9" i="2"/>
  <c r="G68" i="2"/>
  <c r="D68" i="2"/>
  <c r="D67" i="2"/>
  <c r="E68" i="2" s="1"/>
  <c r="E69" i="2" s="1"/>
  <c r="E56" i="2"/>
  <c r="E57" i="2" s="1"/>
  <c r="D56" i="2"/>
  <c r="D55" i="2"/>
  <c r="F48" i="2"/>
  <c r="D48" i="2"/>
  <c r="D59" i="2"/>
  <c r="D58" i="2"/>
  <c r="D60" i="2" s="1"/>
  <c r="D77" i="2" s="1"/>
  <c r="D79" i="2" s="1"/>
  <c r="D71" i="2"/>
  <c r="D72" i="2" s="1"/>
  <c r="D70" i="2"/>
  <c r="D66" i="2"/>
  <c r="D54" i="2"/>
  <c r="D47" i="2"/>
  <c r="D51" i="2" l="1"/>
  <c r="D82" i="2"/>
  <c r="F82" i="2" s="1"/>
  <c r="E48" i="2"/>
  <c r="G13" i="2"/>
  <c r="G15" i="2" s="1"/>
  <c r="K70" i="2"/>
  <c r="O65" i="2"/>
  <c r="K60" i="2"/>
  <c r="K55" i="2"/>
  <c r="N54" i="2"/>
  <c r="N59" i="2" s="1"/>
  <c r="P53" i="2"/>
  <c r="P58" i="2" s="1"/>
  <c r="P68" i="2" s="1"/>
  <c r="P63" i="2"/>
  <c r="N64" i="2"/>
  <c r="H24" i="2"/>
  <c r="I24" i="2"/>
  <c r="I25" i="2" s="1"/>
  <c r="F24" i="2"/>
  <c r="E24" i="2"/>
  <c r="I10" i="2"/>
  <c r="H10" i="2"/>
  <c r="G10" i="2"/>
  <c r="F10" i="2"/>
  <c r="E10" i="2"/>
  <c r="E11" i="2" s="1"/>
  <c r="D10" i="2"/>
  <c r="E83" i="2" s="1"/>
  <c r="F83" i="2" s="1"/>
  <c r="I9" i="2"/>
  <c r="H9" i="2"/>
  <c r="G9" i="2"/>
  <c r="F9" i="2"/>
  <c r="D11" i="2" l="1"/>
  <c r="D13" i="2" s="1"/>
  <c r="D15" i="2" s="1"/>
  <c r="E49" i="2"/>
  <c r="F68" i="2"/>
  <c r="G67" i="2" s="1"/>
  <c r="F84" i="2"/>
  <c r="F86" i="2" s="1"/>
  <c r="H86" i="2" s="1"/>
  <c r="H87" i="2" s="1"/>
  <c r="I65" i="2"/>
  <c r="L64" i="2" s="1"/>
  <c r="L65" i="2" s="1"/>
  <c r="H26" i="2" s="1"/>
  <c r="H29" i="2" s="1"/>
  <c r="I29" i="2" s="1"/>
  <c r="F11" i="2"/>
  <c r="F13" i="2" s="1"/>
  <c r="F15" i="2" s="1"/>
  <c r="I11" i="2"/>
  <c r="I13" i="2" s="1"/>
  <c r="I15" i="2" s="1"/>
  <c r="H11" i="2"/>
  <c r="H13" i="2" s="1"/>
  <c r="H15" i="2" s="1"/>
  <c r="E34" i="2"/>
  <c r="E13" i="2"/>
  <c r="E15" i="2" s="1"/>
  <c r="E20" i="2" s="1"/>
  <c r="E21" i="2" s="1"/>
  <c r="I59" i="2"/>
  <c r="N69" i="2"/>
  <c r="I69" i="2" s="1"/>
  <c r="E25" i="2"/>
  <c r="F25" i="2"/>
  <c r="I58" i="2"/>
  <c r="L68" i="2"/>
  <c r="L58" i="2"/>
  <c r="K9" i="2"/>
  <c r="H25" i="2"/>
  <c r="D34" i="2" l="1"/>
  <c r="I34" i="2"/>
  <c r="H34" i="2"/>
  <c r="N53" i="2"/>
  <c r="N55" i="2" s="1"/>
  <c r="P54" i="2" s="1"/>
  <c r="P55" i="2" s="1"/>
  <c r="E22" i="2" s="1"/>
  <c r="E28" i="2" s="1"/>
  <c r="I68" i="2"/>
  <c r="I70" i="2" s="1"/>
  <c r="L69" i="2" s="1"/>
  <c r="L70" i="2" s="1"/>
  <c r="I26" i="2" s="1"/>
  <c r="F34" i="2"/>
  <c r="E31" i="2"/>
  <c r="I60" i="2"/>
  <c r="L59" i="2" s="1"/>
  <c r="L60" i="2" s="1"/>
  <c r="F26" i="2" s="1"/>
  <c r="F29" i="2" s="1"/>
  <c r="H31" i="2"/>
  <c r="H20" i="2"/>
  <c r="H21" i="2" s="1"/>
  <c r="N63" i="2" s="1"/>
  <c r="N65" i="2" s="1"/>
  <c r="P64" i="2" s="1"/>
  <c r="P65" i="2" s="1"/>
  <c r="D20" i="2"/>
  <c r="D31" i="2"/>
  <c r="F31" i="2"/>
  <c r="F20" i="2"/>
  <c r="F21" i="2" s="1"/>
  <c r="I31" i="2"/>
  <c r="I20" i="2"/>
  <c r="I21" i="2" s="1"/>
  <c r="N68" i="2" s="1"/>
  <c r="N70" i="2" s="1"/>
  <c r="P69" i="2" s="1"/>
  <c r="P70" i="2" s="1"/>
  <c r="I22" i="2" s="1"/>
  <c r="I28" i="2" s="1"/>
  <c r="N58" i="2" l="1"/>
  <c r="N60" i="2" s="1"/>
  <c r="P59" i="2" s="1"/>
  <c r="P60" i="2" s="1"/>
  <c r="I53" i="2"/>
  <c r="I55" i="2" s="1"/>
  <c r="L54" i="2" s="1"/>
  <c r="L55" i="2" s="1"/>
  <c r="I30" i="2"/>
  <c r="I32" i="2" s="1"/>
  <c r="I35" i="2" s="1"/>
  <c r="I36" i="2" s="1"/>
  <c r="E26" i="2" l="1"/>
  <c r="E29" i="2" s="1"/>
  <c r="E30" i="2" s="1"/>
  <c r="E35" i="2" s="1"/>
  <c r="E36" i="2" s="1"/>
  <c r="L56" i="2"/>
  <c r="F22" i="2"/>
  <c r="F28" i="2" s="1"/>
  <c r="F30" i="2" s="1"/>
  <c r="F32" i="2" s="1"/>
  <c r="F35" i="2" s="1"/>
  <c r="F36" i="2" s="1"/>
  <c r="H22" i="2"/>
  <c r="H28" i="2" s="1"/>
  <c r="H30" i="2" s="1"/>
  <c r="H32" i="2" s="1"/>
  <c r="H35" i="2" s="1"/>
  <c r="H36" i="2" s="1"/>
  <c r="D12" i="1"/>
  <c r="E12" i="1"/>
  <c r="F12" i="1"/>
  <c r="G11" i="1"/>
  <c r="G7" i="1"/>
  <c r="C12" i="1" l="1"/>
  <c r="G12" i="1"/>
  <c r="I11" i="1"/>
  <c r="I12" i="1" s="1"/>
  <c r="I7" i="1"/>
  <c r="G21" i="2"/>
  <c r="D24" i="2"/>
  <c r="D21" i="2"/>
  <c r="N47" i="2" s="1"/>
  <c r="N49" i="2" s="1"/>
  <c r="P49" i="2" s="1"/>
  <c r="P50" i="2" s="1"/>
  <c r="D22" i="2" l="1"/>
  <c r="D28" i="2" s="1"/>
  <c r="D25" i="2"/>
  <c r="I47" i="2"/>
  <c r="I49" i="2" s="1"/>
  <c r="L48" i="2" s="1"/>
  <c r="L49" i="2" s="1"/>
  <c r="D26" i="2" l="1"/>
  <c r="D29" i="2" s="1"/>
  <c r="L50" i="2"/>
  <c r="D30" i="2"/>
  <c r="D32" i="2" s="1"/>
  <c r="D35" i="2" s="1"/>
  <c r="D36" i="2" s="1"/>
  <c r="K36" i="2" l="1"/>
  <c r="K39" i="2" s="1"/>
  <c r="H12" i="1" l="1"/>
</calcChain>
</file>

<file path=xl/comments1.xml><?xml version="1.0" encoding="utf-8"?>
<comments xmlns="http://schemas.openxmlformats.org/spreadsheetml/2006/main">
  <authors>
    <author>Usuario de Windows</author>
  </authors>
  <commentList>
    <comment ref="J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Ingreso el 01 de marzo, no cuenta con minimo 6 meses de servicio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Pagados en Abril como Finiquito
</t>
        </r>
      </text>
    </comment>
    <comment ref="D50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Pagados en Abril como Finiquito
</t>
        </r>
      </text>
    </comment>
    <comment ref="D70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90 dias sueldo nuevo
275  sueldo anterior</t>
        </r>
      </text>
    </comment>
  </commentList>
</comments>
</file>

<file path=xl/sharedStrings.xml><?xml version="1.0" encoding="utf-8"?>
<sst xmlns="http://schemas.openxmlformats.org/spreadsheetml/2006/main" count="79" uniqueCount="70">
  <si>
    <t>IVONNE ANAYELI MARTINEZ OVIEDO</t>
  </si>
  <si>
    <t>JONATHAN ERNESTO GOMEZ MORA</t>
  </si>
  <si>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</si>
  <si>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</si>
  <si>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</si>
  <si>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</si>
  <si>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</si>
  <si>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</si>
  <si>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</si>
  <si>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CONSEJO MUNICIPAL DEL DEPORTE DE SAN PEDRO TLAQUEPAQUE</t>
  </si>
  <si>
    <t>Lista de raya del periodo</t>
  </si>
  <si>
    <t>CALCULO ISR VACACIONES</t>
  </si>
  <si>
    <t>JONATHAN</t>
  </si>
  <si>
    <t>PEDRO</t>
  </si>
  <si>
    <t>LUPITA</t>
  </si>
  <si>
    <t>MOISES</t>
  </si>
  <si>
    <t>PATRICIA</t>
  </si>
  <si>
    <t>Procedimiento de determinación del aguinaldo gravado para artículo 174 del RISR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</si>
  <si>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(-) Vacaciones exento  (15 salarios mínimos )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</si>
  <si>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(=) vacaciones gravado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</si>
  <si>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(/) Días del año 365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</si>
  <si>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(=) vacaciones gravado diario 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</si>
  <si>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(x) Días promedio mes 30.4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</si>
  <si>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(=) vacaciones gravado Artículo 174 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</si>
  <si>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Monto de salarios del periodo </t>
    </r>
  </si>
  <si>
    <t>Límite inferior</t>
  </si>
  <si>
    <t>Límite superior</t>
  </si>
  <si>
    <t>Cuota fija</t>
  </si>
  <si>
    <t>Por ciento para aplicarse sobre</t>
  </si>
  <si>
    <t>el excedente del límite inferior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</si>
  <si>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(=) Base para ISR </t>
    </r>
  </si>
  <si>
    <t>$</t>
  </si>
  <si>
    <t>%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</si>
  <si>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ISR a cargo </t>
    </r>
  </si>
  <si>
    <t>Procedimiento de Cálculo del ISR mensual normal (C)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</si>
  <si>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Monto de salarios del periodo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</si>
  <si>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(=) Base para ISR</t>
    </r>
  </si>
  <si>
    <t>Procedimiento de determinación de la tasa efectiva Art. 174 RISR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</si>
  <si>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ISR a cargo (B)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</si>
  <si>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(-) ISR a cargo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</si>
  <si>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(=) Diferencia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</si>
  <si>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(=) Tasa efectiva ISR </t>
    </r>
  </si>
  <si>
    <t>En adelante</t>
  </si>
  <si>
    <t>Procedimiento (E) Monto de ISR a retener Art. 174 RISR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</si>
  <si>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(x) Tasa efectiva de ISR 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</si>
  <si>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(=) ISR a retener artículo 174 RISR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</si>
  <si>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Monto de VACACIONES percibido: </t>
    </r>
  </si>
  <si>
    <t>ARGEL OMAR GOMEZ MAYORAL</t>
  </si>
  <si>
    <t>PARTE PROPORCIONAL DE PRIMA VACACIONAL</t>
  </si>
  <si>
    <t>Parte Proporcional de Prima Vacacional  al 29 Febrero</t>
  </si>
  <si>
    <t>PARTE PROPORCIONAL DE AGUINALDO 60 días</t>
  </si>
  <si>
    <t>PARTE PROPORCIONAL DE AGUINALDO 215 días</t>
  </si>
  <si>
    <t>PARTE PROPORCIONAL DE AGUINALDO 90 días</t>
  </si>
  <si>
    <t>IVAN</t>
  </si>
  <si>
    <t>IVONNE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</si>
  <si>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(/) Prima Vacacional gravado 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</si>
  <si>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Monto de percepción de Prima Vacacional</t>
    </r>
  </si>
  <si>
    <t>Procedimiento de cálculo del ISR mensual con percepción de Vacaciones gravado (B)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</si>
  <si>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(+) Prima Vacacional Gravada </t>
    </r>
  </si>
  <si>
    <t>Prima Vacacional de Director Via Recreactiva no tiene derecho</t>
  </si>
  <si>
    <t>Exentos</t>
  </si>
  <si>
    <t>Parte Proporcional Prima Vacacional</t>
  </si>
  <si>
    <t>Parte Proporcional Aguinaldo Lic. Omar</t>
  </si>
  <si>
    <t>ROBERTO RIOS ESPINOZA</t>
  </si>
  <si>
    <t>MARCO ABEL PALENCIA SUAREZ</t>
  </si>
  <si>
    <t>JORGE LUIS MARTINEZ AVILES</t>
  </si>
  <si>
    <t>GUSTAVO MITRE ANAYA</t>
  </si>
  <si>
    <t>JESUS LOZANO CASTAÑEDA</t>
  </si>
  <si>
    <t>Del 01 al 31 de Octubre del 2024</t>
  </si>
  <si>
    <t xml:space="preserve"> DEDUCCIONES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</si>
</sst>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_-* #,##0_-;\-* #,##0_-;_-* &quot;-&quot;??_-;_-@_-"/>
    <numFmt numFmtId="167" formatCode="0.0000"/>
    <numFmt numFmtId="168" formatCode="&quot;$&quot;#,##0.0000_);[Red]\(&quot;$&quot;#,##0.0000\)"/>
    <numFmt numFmtId="169" formatCode="&quot;$&quot;#,##0.00;[Red]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333333"/>
      <name val="Symbol"/>
      <family val="1"/>
      <charset val="2"/>
    </font>
    <font>
      <sz val="7"/>
      <color rgb="FF333333"/>
      <name val="Times New Roman"/>
      <family val="1"/>
    </font>
    <font>
      <sz val="10"/>
      <color rgb="FF333333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10"/>
      <color rgb="FF333333"/>
      <name val="Arial Narrow"/>
      <family val="2"/>
    </font>
    <font>
      <b/>
      <i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2C2C2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0" fontId="11" fillId="0" borderId="0" xfId="0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indent="1"/>
    </xf>
    <xf numFmtId="43" fontId="0" fillId="3" borderId="0" xfId="1" applyFont="1" applyFill="1"/>
    <xf numFmtId="43" fontId="11" fillId="0" borderId="0" xfId="0" applyNumberFormat="1" applyFont="1"/>
    <xf numFmtId="43" fontId="0" fillId="0" borderId="0" xfId="0" applyNumberFormat="1"/>
    <xf numFmtId="166" fontId="10" fillId="0" borderId="0" xfId="1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0" fillId="4" borderId="0" xfId="1" applyFont="1" applyFill="1"/>
    <xf numFmtId="0" fontId="12" fillId="0" borderId="0" xfId="0" applyFont="1" applyAlignment="1">
      <alignment vertical="center"/>
    </xf>
    <xf numFmtId="43" fontId="0" fillId="5" borderId="0" xfId="1" applyFont="1" applyFill="1"/>
    <xf numFmtId="10" fontId="0" fillId="0" borderId="0" xfId="3" applyNumberFormat="1" applyFont="1"/>
    <xf numFmtId="0" fontId="17" fillId="0" borderId="0" xfId="0" applyFont="1" applyAlignment="1">
      <alignment horizontal="justify" vertical="center"/>
    </xf>
    <xf numFmtId="10" fontId="0" fillId="0" borderId="0" xfId="1" applyNumberFormat="1" applyFont="1"/>
    <xf numFmtId="43" fontId="18" fillId="0" borderId="0" xfId="1" applyFont="1"/>
    <xf numFmtId="0" fontId="19" fillId="0" borderId="0" xfId="0" applyFont="1" applyAlignment="1">
      <alignment horizontal="left" vertical="center" indent="1"/>
    </xf>
    <xf numFmtId="43" fontId="18" fillId="0" borderId="5" xfId="1" applyFont="1" applyBorder="1"/>
    <xf numFmtId="43" fontId="18" fillId="0" borderId="5" xfId="0" applyNumberFormat="1" applyFont="1" applyBorder="1"/>
    <xf numFmtId="43" fontId="20" fillId="0" borderId="5" xfId="0" applyNumberFormat="1" applyFont="1" applyBorder="1"/>
    <xf numFmtId="4" fontId="0" fillId="0" borderId="0" xfId="0" applyNumberFormat="1"/>
    <xf numFmtId="4" fontId="0" fillId="0" borderId="5" xfId="0" applyNumberFormat="1" applyBorder="1"/>
    <xf numFmtId="43" fontId="0" fillId="0" borderId="5" xfId="0" applyNumberFormat="1" applyBorder="1"/>
    <xf numFmtId="43" fontId="0" fillId="0" borderId="5" xfId="1" applyFont="1" applyBorder="1"/>
    <xf numFmtId="2" fontId="0" fillId="0" borderId="5" xfId="0" applyNumberFormat="1" applyBorder="1"/>
    <xf numFmtId="2" fontId="0" fillId="0" borderId="0" xfId="0" applyNumberFormat="1"/>
    <xf numFmtId="2" fontId="0" fillId="0" borderId="0" xfId="2" applyNumberFormat="1" applyFont="1"/>
    <xf numFmtId="2" fontId="0" fillId="0" borderId="5" xfId="2" applyNumberFormat="1" applyFont="1" applyBorder="1"/>
    <xf numFmtId="167" fontId="0" fillId="0" borderId="0" xfId="0" applyNumberFormat="1"/>
    <xf numFmtId="167" fontId="0" fillId="0" borderId="0" xfId="2" applyNumberFormat="1" applyFont="1"/>
    <xf numFmtId="168" fontId="2" fillId="0" borderId="0" xfId="0" applyNumberFormat="1" applyFont="1"/>
    <xf numFmtId="0" fontId="10" fillId="0" borderId="0" xfId="0" applyFont="1"/>
    <xf numFmtId="0" fontId="23" fillId="0" borderId="0" xfId="0" applyFont="1"/>
    <xf numFmtId="0" fontId="24" fillId="0" borderId="0" xfId="0" applyFont="1"/>
    <xf numFmtId="43" fontId="0" fillId="4" borderId="0" xfId="0" applyNumberFormat="1" applyFill="1"/>
    <xf numFmtId="43" fontId="0" fillId="4" borderId="5" xfId="1" applyFont="1" applyFill="1" applyBorder="1"/>
    <xf numFmtId="43" fontId="10" fillId="0" borderId="0" xfId="0" applyNumberFormat="1" applyFont="1"/>
    <xf numFmtId="4" fontId="25" fillId="6" borderId="6" xfId="0" applyNumberFormat="1" applyFont="1" applyFill="1" applyBorder="1" applyAlignment="1">
      <alignment vertical="center" wrapText="1"/>
    </xf>
    <xf numFmtId="0" fontId="25" fillId="6" borderId="6" xfId="0" applyFont="1" applyFill="1" applyBorder="1" applyAlignment="1">
      <alignment vertical="center" wrapText="1"/>
    </xf>
    <xf numFmtId="0" fontId="25" fillId="6" borderId="7" xfId="0" applyFont="1" applyFill="1" applyBorder="1" applyAlignment="1">
      <alignment vertical="center" wrapText="1"/>
    </xf>
    <xf numFmtId="4" fontId="25" fillId="6" borderId="7" xfId="0" applyNumberFormat="1" applyFont="1" applyFill="1" applyBorder="1" applyAlignment="1">
      <alignment vertical="center" wrapText="1"/>
    </xf>
    <xf numFmtId="43" fontId="0" fillId="5" borderId="0" xfId="0" applyNumberFormat="1" applyFill="1"/>
    <xf numFmtId="43" fontId="0" fillId="7" borderId="0" xfId="1" applyFont="1" applyFill="1"/>
    <xf numFmtId="43" fontId="0" fillId="7" borderId="5" xfId="1" applyFont="1" applyFill="1" applyBorder="1"/>
    <xf numFmtId="43" fontId="0" fillId="7" borderId="0" xfId="0" applyNumberFormat="1" applyFill="1"/>
    <xf numFmtId="169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546815</xdr:colOff>
      <xdr:row>0</xdr:row>
      <xdr:rowOff>0</xdr:rowOff>
    </xdr:from>
    <xdr:to>
      <xdr:col>1</xdr:col>
      <xdr:colOff>1657350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15" y="0"/>
          <a:ext cx="111053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\PRESUPUESTO\PRESUPUESTO%202024\PROPUEST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NOMINA"/>
      <sheetName val="AGUINALDO"/>
      <sheetName val="VACACIONES"/>
      <sheetName val="Serial 2024"/>
      <sheetName val="Calculo ISR SALARIOS"/>
      <sheetName val="INGRESOS EST."/>
      <sheetName val="Hoja2"/>
      <sheetName val="Hoja3"/>
    </sheetNames>
    <sheetDataSet>
      <sheetData sheetId="0"/>
      <sheetData sheetId="1">
        <row r="10">
          <cell r="N10">
            <v>14588</v>
          </cell>
        </row>
        <row r="11">
          <cell r="N11">
            <v>6475</v>
          </cell>
        </row>
        <row r="12">
          <cell r="N12">
            <v>14588</v>
          </cell>
        </row>
        <row r="13">
          <cell r="N13">
            <v>14588</v>
          </cell>
        </row>
      </sheetData>
      <sheetData sheetId="2">
        <row r="10">
          <cell r="K10">
            <v>342346.66666666669</v>
          </cell>
        </row>
        <row r="11">
          <cell r="D11">
            <v>3080.4</v>
          </cell>
        </row>
      </sheetData>
      <sheetData sheetId="3">
        <row r="9">
          <cell r="K9">
            <v>34234.666666666657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topLeftCell="A4" zoomScale="87" zoomScaleNormal="87" workbookViewId="0">
      <selection activeCell="F4" sqref="F4:I4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9" width="12.85546875" bestFit="1" customWidth="1"/>
  </cols>
  <sheetData>
    <row r="1" spans="2:23" ht="65.25" customHeight="1" x14ac:dyDescent="0.25"/>
    <row r="2" spans="2:23" ht="19.5" x14ac:dyDescent="0.3">
      <c r="C2" s="67"/>
      <c r="D2" s="67"/>
      <c r="E2" s="67"/>
      <c r="F2" s="67"/>
      <c r="G2" s="67"/>
      <c r="H2" s="67"/>
      <c r="I2" s="6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10</v>
      </c>
      <c r="C4" s="8"/>
      <c r="D4" s="10"/>
      <c r="F4" s="69" t="s">
        <v>68</v>
      </c>
      <c r="G4" s="69"/>
      <c r="H4" s="69"/>
      <c r="I4" s="69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  <c r="H6" s="3" t="s">
        <v>69</v>
      </c>
      <c r="I6" s="2" t="s">
        <v>8</v>
      </c>
    </row>
    <row r="7" spans="2:23" ht="36" customHeight="1" thickTop="1" x14ac:dyDescent="0.25">
      <c r="B7" s="14" t="s">
        <v>63</v>
      </c>
      <c r="C7" s="11">
        <v>16650</v>
      </c>
      <c r="D7" s="11">
        <v>12290</v>
      </c>
      <c r="E7" s="11">
        <v>140</v>
      </c>
      <c r="F7" s="11">
        <v>96</v>
      </c>
      <c r="G7" s="11">
        <f>+C7+D7+E7+F7</f>
        <v>29176</v>
      </c>
      <c r="H7" s="11">
        <v>6478.76</v>
      </c>
      <c r="I7" s="11">
        <f>+G7-H7</f>
        <v>22697.239999999998</v>
      </c>
    </row>
    <row r="8" spans="2:23" ht="36" customHeight="1" x14ac:dyDescent="0.25">
      <c r="B8" s="14" t="s">
        <v>64</v>
      </c>
      <c r="C8" s="11">
        <v>12765</v>
      </c>
      <c r="D8" s="11">
        <v>9422.33</v>
      </c>
      <c r="E8" s="11">
        <v>140</v>
      </c>
      <c r="F8" s="11">
        <v>96</v>
      </c>
      <c r="G8" s="11">
        <f>+C8+D8+E8+F8</f>
        <v>22423.33</v>
      </c>
      <c r="H8" s="11">
        <v>5413.83</v>
      </c>
      <c r="I8" s="11">
        <f>+G8-H8</f>
        <v>17009.5</v>
      </c>
    </row>
    <row r="9" spans="2:23" ht="36" customHeight="1" x14ac:dyDescent="0.25">
      <c r="B9" s="14" t="s">
        <v>66</v>
      </c>
      <c r="C9" s="11">
        <v>8325</v>
      </c>
      <c r="D9" s="11">
        <v>6145</v>
      </c>
      <c r="E9" s="11">
        <v>70</v>
      </c>
      <c r="F9" s="11">
        <v>48</v>
      </c>
      <c r="G9" s="11">
        <f>+C9+D9+E9+F9</f>
        <v>14588</v>
      </c>
      <c r="H9" s="11">
        <v>3239.38</v>
      </c>
      <c r="I9" s="11">
        <f>+G9-H9</f>
        <v>11348.619999999999</v>
      </c>
    </row>
    <row r="10" spans="2:23" ht="36" customHeight="1" x14ac:dyDescent="0.25">
      <c r="B10" s="14" t="s">
        <v>65</v>
      </c>
      <c r="C10" s="11">
        <v>8325</v>
      </c>
      <c r="D10" s="11">
        <v>6145</v>
      </c>
      <c r="E10" s="11">
        <v>70</v>
      </c>
      <c r="F10" s="11">
        <v>48</v>
      </c>
      <c r="G10" s="11">
        <f>+C10+D10+E10+F10</f>
        <v>14588</v>
      </c>
      <c r="H10" s="11">
        <v>3239.38</v>
      </c>
      <c r="I10" s="11">
        <f>+G10-H10</f>
        <v>11348.619999999999</v>
      </c>
    </row>
    <row r="11" spans="2:23" ht="36" customHeight="1" thickBot="1" x14ac:dyDescent="0.3">
      <c r="B11" s="14" t="s">
        <v>67</v>
      </c>
      <c r="C11" s="11">
        <v>6765</v>
      </c>
      <c r="D11" s="11">
        <v>4861</v>
      </c>
      <c r="E11" s="12">
        <v>70</v>
      </c>
      <c r="F11" s="12">
        <v>48</v>
      </c>
      <c r="G11" s="12">
        <f t="shared" ref="G11" si="0">+C11+D11+E11+F11</f>
        <v>11744</v>
      </c>
      <c r="H11" s="11">
        <v>2452.5</v>
      </c>
      <c r="I11" s="12">
        <f>+G11-H11</f>
        <v>9291.5</v>
      </c>
    </row>
    <row r="12" spans="2:23" ht="15.75" thickTop="1" x14ac:dyDescent="0.25">
      <c r="C12" s="13">
        <f t="shared" ref="C12:H12" si="1">SUM(C7:C11)</f>
        <v>52830</v>
      </c>
      <c r="D12" s="13">
        <f t="shared" si="1"/>
        <v>38863.33</v>
      </c>
      <c r="E12" s="13">
        <f t="shared" si="1"/>
        <v>490</v>
      </c>
      <c r="F12" s="13">
        <f t="shared" si="1"/>
        <v>336</v>
      </c>
      <c r="G12" s="13">
        <f t="shared" si="1"/>
        <v>92519.33</v>
      </c>
      <c r="H12" s="13">
        <f t="shared" si="1"/>
        <v>20823.850000000002</v>
      </c>
      <c r="I12" s="13">
        <f>SUM(I7:I11)</f>
        <v>71695.48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65"/>
      <c r="C15" s="65"/>
      <c r="D15" s="65"/>
      <c r="E15" s="65"/>
      <c r="F15" s="65"/>
      <c r="G15" s="65"/>
      <c r="H15" s="65"/>
      <c r="I15" s="65"/>
    </row>
    <row r="16" spans="2:23" x14ac:dyDescent="0.25">
      <c r="B16" s="65"/>
      <c r="C16" s="65"/>
      <c r="D16" s="65"/>
      <c r="E16" s="65"/>
      <c r="F16" s="65"/>
      <c r="G16" s="65"/>
      <c r="H16" s="65"/>
      <c r="I16" s="65"/>
    </row>
    <row r="17" spans="2:9" x14ac:dyDescent="0.25">
      <c r="B17" s="65"/>
      <c r="C17" s="65"/>
      <c r="D17" s="65"/>
      <c r="E17" s="65"/>
      <c r="F17" s="65"/>
      <c r="G17" s="65"/>
      <c r="H17" s="65"/>
      <c r="I17" s="65"/>
    </row>
    <row r="18" spans="2:9" x14ac:dyDescent="0.25">
      <c r="C18" s="6"/>
      <c r="D18" s="49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49"/>
      <c r="D20" s="6"/>
      <c r="E20" s="6"/>
      <c r="F20" s="6"/>
      <c r="G20" s="6"/>
    </row>
    <row r="21" spans="2:9" x14ac:dyDescent="0.25">
      <c r="B21" s="66"/>
      <c r="C21" s="66"/>
      <c r="D21" s="66"/>
      <c r="E21" s="66"/>
      <c r="F21" s="66"/>
      <c r="G21" s="66"/>
      <c r="H21" s="66"/>
      <c r="I21" s="66"/>
    </row>
    <row r="22" spans="2:9" x14ac:dyDescent="0.25">
      <c r="B22" s="65"/>
      <c r="C22" s="65"/>
      <c r="D22" s="65"/>
      <c r="E22" s="65"/>
      <c r="F22" s="65"/>
      <c r="G22" s="65"/>
      <c r="H22" s="65"/>
      <c r="I22" s="65"/>
    </row>
    <row r="25" spans="2:9" x14ac:dyDescent="0.25">
      <c r="G25" s="64"/>
    </row>
    <row r="26" spans="2:9" x14ac:dyDescent="0.25">
      <c r="G26" s="64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4:Q87"/>
  <sheetViews>
    <sheetView topLeftCell="A37" workbookViewId="0">
      <selection activeCell="D50" sqref="D50"/>
    </sheetView>
  </sheetViews>
  <sheetFormatPr baseColWidth="10" defaultColWidth="11.42578125" defaultRowHeight="15" x14ac:dyDescent="0.25"/>
  <cols>
    <col min="1" max="1" width="7.5703125" customWidth="1"/>
    <col min="2" max="2" width="7" customWidth="1"/>
    <col min="3" max="3" width="55.28515625" customWidth="1"/>
    <col min="4" max="4" width="12.28515625" customWidth="1"/>
    <col min="5" max="5" width="11.28515625" bestFit="1" customWidth="1"/>
    <col min="6" max="6" width="17.28515625" bestFit="1" customWidth="1"/>
    <col min="7" max="7" width="12.42578125" customWidth="1"/>
    <col min="8" max="8" width="12.42578125" bestFit="1" customWidth="1"/>
    <col min="9" max="9" width="11.28515625" bestFit="1" customWidth="1"/>
    <col min="10" max="10" width="11.28515625" customWidth="1"/>
    <col min="11" max="11" width="15.85546875" bestFit="1" customWidth="1"/>
    <col min="12" max="12" width="14.5703125" bestFit="1" customWidth="1"/>
    <col min="14" max="14" width="12.5703125" customWidth="1"/>
  </cols>
  <sheetData>
    <row r="4" spans="3:11" ht="18.75" x14ac:dyDescent="0.3">
      <c r="C4" s="68" t="s">
        <v>9</v>
      </c>
      <c r="D4" s="68"/>
      <c r="E4" s="68"/>
      <c r="F4" s="68"/>
      <c r="G4" s="68"/>
      <c r="H4" s="68"/>
      <c r="I4" s="68"/>
      <c r="J4" s="15"/>
    </row>
    <row r="5" spans="3:11" ht="18.75" x14ac:dyDescent="0.3">
      <c r="C5" s="68" t="s">
        <v>11</v>
      </c>
      <c r="D5" s="68"/>
      <c r="E5" s="68"/>
      <c r="F5" s="68"/>
      <c r="G5" s="68"/>
      <c r="H5" s="68"/>
      <c r="I5" s="68"/>
      <c r="J5" s="15"/>
    </row>
    <row r="7" spans="3:11" x14ac:dyDescent="0.25">
      <c r="C7" s="16"/>
      <c r="D7" s="17" t="s">
        <v>12</v>
      </c>
      <c r="E7" s="17" t="s">
        <v>54</v>
      </c>
      <c r="F7" s="17" t="s">
        <v>13</v>
      </c>
      <c r="G7" s="17" t="s">
        <v>14</v>
      </c>
      <c r="H7" s="17" t="s">
        <v>15</v>
      </c>
      <c r="I7" s="17" t="s">
        <v>53</v>
      </c>
      <c r="J7" s="17" t="s">
        <v>16</v>
      </c>
    </row>
    <row r="8" spans="3:11" ht="30.75" customHeight="1" x14ac:dyDescent="0.25">
      <c r="C8" s="18" t="s">
        <v>17</v>
      </c>
    </row>
    <row r="9" spans="3:11" ht="18.75" x14ac:dyDescent="0.3">
      <c r="C9" s="19" t="s">
        <v>46</v>
      </c>
      <c r="D9" s="20" t="e">
        <f>+Hoja1!#REF!</f>
        <v>#REF!</v>
      </c>
      <c r="E9" s="5" t="e">
        <f>+Hoja1!#REF!</f>
        <v>#REF!</v>
      </c>
      <c r="F9" s="5">
        <f>+[1]NOMINA!N10/15*5</f>
        <v>4862.6666666666661</v>
      </c>
      <c r="G9" s="5">
        <f>+[1]NOMINA!N11/15*5</f>
        <v>2158.3333333333335</v>
      </c>
      <c r="H9" s="5">
        <f>+[1]NOMINA!N12/15*5</f>
        <v>4862.6666666666661</v>
      </c>
      <c r="I9" s="5">
        <f>+[1]NOMINA!N13/15*5</f>
        <v>4862.6666666666661</v>
      </c>
      <c r="J9" s="5">
        <v>0</v>
      </c>
      <c r="K9" s="21" t="e">
        <f>SUM(D9:J9)</f>
        <v>#REF!</v>
      </c>
    </row>
    <row r="10" spans="3:11" x14ac:dyDescent="0.25">
      <c r="C10" s="19" t="s">
        <v>18</v>
      </c>
      <c r="D10" s="5">
        <f>248.93*15</f>
        <v>3733.9500000000003</v>
      </c>
      <c r="E10" s="5">
        <f t="shared" ref="E10:I10" si="0">248.93*15</f>
        <v>3733.9500000000003</v>
      </c>
      <c r="F10" s="5">
        <f t="shared" si="0"/>
        <v>3733.9500000000003</v>
      </c>
      <c r="G10" s="5">
        <f t="shared" si="0"/>
        <v>3733.9500000000003</v>
      </c>
      <c r="H10" s="5">
        <f t="shared" si="0"/>
        <v>3733.9500000000003</v>
      </c>
      <c r="I10" s="5">
        <f t="shared" si="0"/>
        <v>3733.9500000000003</v>
      </c>
      <c r="J10" s="5"/>
    </row>
    <row r="11" spans="3:11" x14ac:dyDescent="0.25">
      <c r="C11" s="19" t="s">
        <v>19</v>
      </c>
      <c r="D11" s="5" t="e">
        <f>+D9-D10</f>
        <v>#REF!</v>
      </c>
      <c r="E11" s="5" t="e">
        <f>+E9-E10</f>
        <v>#REF!</v>
      </c>
      <c r="F11" s="5">
        <f>+F9-F10</f>
        <v>1128.7166666666658</v>
      </c>
      <c r="G11" s="5">
        <v>0</v>
      </c>
      <c r="H11" s="5">
        <f>+H9-H10</f>
        <v>1128.7166666666658</v>
      </c>
      <c r="I11" s="5">
        <f>+I9-I10</f>
        <v>1128.7166666666658</v>
      </c>
      <c r="J11" s="5"/>
      <c r="K11" s="22"/>
    </row>
    <row r="12" spans="3:11" x14ac:dyDescent="0.25">
      <c r="C12" s="19" t="s">
        <v>20</v>
      </c>
      <c r="D12" s="23">
        <v>365</v>
      </c>
      <c r="E12" s="23">
        <v>365</v>
      </c>
      <c r="F12" s="23">
        <v>365</v>
      </c>
      <c r="G12" s="23">
        <v>365</v>
      </c>
      <c r="H12" s="23">
        <v>365</v>
      </c>
      <c r="I12" s="23">
        <v>365</v>
      </c>
      <c r="J12" s="23"/>
    </row>
    <row r="13" spans="3:11" x14ac:dyDescent="0.25">
      <c r="C13" s="19" t="s">
        <v>21</v>
      </c>
      <c r="D13" s="5" t="e">
        <f>+D11/D12</f>
        <v>#REF!</v>
      </c>
      <c r="E13" s="5" t="e">
        <f t="shared" ref="E13:I13" si="1">+E11/E12</f>
        <v>#REF!</v>
      </c>
      <c r="F13" s="5">
        <f t="shared" si="1"/>
        <v>3.0923744292237418</v>
      </c>
      <c r="G13" s="5">
        <f t="shared" si="1"/>
        <v>0</v>
      </c>
      <c r="H13" s="5">
        <f t="shared" si="1"/>
        <v>3.0923744292237418</v>
      </c>
      <c r="I13" s="5">
        <f t="shared" si="1"/>
        <v>3.0923744292237418</v>
      </c>
      <c r="J13" s="5"/>
    </row>
    <row r="14" spans="3:11" x14ac:dyDescent="0.25">
      <c r="C14" s="19" t="s">
        <v>22</v>
      </c>
      <c r="D14" s="5">
        <v>30.4</v>
      </c>
      <c r="E14" s="5">
        <v>30.4</v>
      </c>
      <c r="F14" s="5">
        <v>30.4</v>
      </c>
      <c r="G14" s="5">
        <v>30.4</v>
      </c>
      <c r="H14" s="5">
        <v>30.4</v>
      </c>
      <c r="I14" s="5">
        <v>30.4</v>
      </c>
      <c r="J14" s="5"/>
    </row>
    <row r="15" spans="3:11" x14ac:dyDescent="0.25">
      <c r="C15" s="19" t="s">
        <v>23</v>
      </c>
      <c r="D15" s="5" t="e">
        <f>+D13*D14</f>
        <v>#REF!</v>
      </c>
      <c r="E15" s="5" t="e">
        <f t="shared" ref="E15:I15" si="2">+E13*E14</f>
        <v>#REF!</v>
      </c>
      <c r="F15" s="5">
        <f t="shared" si="2"/>
        <v>94.008182648401743</v>
      </c>
      <c r="G15" s="5">
        <f t="shared" si="2"/>
        <v>0</v>
      </c>
      <c r="H15" s="5">
        <f t="shared" si="2"/>
        <v>94.008182648401743</v>
      </c>
      <c r="I15" s="5">
        <f t="shared" si="2"/>
        <v>94.008182648401743</v>
      </c>
      <c r="J15" s="5"/>
    </row>
    <row r="16" spans="3:11" x14ac:dyDescent="0.25">
      <c r="D16" s="5"/>
      <c r="E16" s="5"/>
      <c r="F16" s="5"/>
      <c r="G16" s="5"/>
      <c r="H16" s="5"/>
      <c r="I16" s="5"/>
      <c r="J16" s="5"/>
    </row>
    <row r="18" spans="3:17" ht="28.5" customHeight="1" thickBot="1" x14ac:dyDescent="0.3">
      <c r="C18" s="18" t="s">
        <v>57</v>
      </c>
      <c r="D18" s="5"/>
      <c r="E18" s="5"/>
      <c r="F18" s="5"/>
      <c r="G18" s="5"/>
      <c r="H18" s="5"/>
      <c r="I18" s="5"/>
      <c r="J18" s="5"/>
      <c r="N18" s="24"/>
    </row>
    <row r="19" spans="3:17" ht="34.5" thickTop="1" x14ac:dyDescent="0.25">
      <c r="C19" s="19" t="s">
        <v>24</v>
      </c>
      <c r="D19" s="5">
        <f>26133*2</f>
        <v>52266</v>
      </c>
      <c r="E19" s="5">
        <f>14588*2</f>
        <v>29176</v>
      </c>
      <c r="F19" s="5">
        <f>14588*2</f>
        <v>29176</v>
      </c>
      <c r="G19" s="5">
        <f>6475*2</f>
        <v>12950</v>
      </c>
      <c r="H19" s="5">
        <f>14588*2</f>
        <v>29176</v>
      </c>
      <c r="I19" s="5">
        <f>14588*2</f>
        <v>29176</v>
      </c>
      <c r="J19" s="5">
        <f>11744*2</f>
        <v>23488</v>
      </c>
      <c r="K19" s="22"/>
      <c r="N19" s="25" t="s">
        <v>25</v>
      </c>
      <c r="O19" s="25" t="s">
        <v>26</v>
      </c>
      <c r="P19" s="25" t="s">
        <v>27</v>
      </c>
      <c r="Q19" s="25" t="s">
        <v>28</v>
      </c>
    </row>
    <row r="20" spans="3:17" ht="33.75" x14ac:dyDescent="0.25">
      <c r="C20" s="19" t="s">
        <v>58</v>
      </c>
      <c r="D20" s="5" t="e">
        <f>+D15</f>
        <v>#REF!</v>
      </c>
      <c r="E20" s="5" t="e">
        <f>+E15</f>
        <v>#REF!</v>
      </c>
      <c r="F20" s="5">
        <f>+F15</f>
        <v>94.008182648401743</v>
      </c>
      <c r="G20" s="5">
        <v>0</v>
      </c>
      <c r="H20" s="5">
        <f>+H15</f>
        <v>94.008182648401743</v>
      </c>
      <c r="I20" s="5">
        <f>+I15</f>
        <v>94.008182648401743</v>
      </c>
      <c r="J20" s="5"/>
      <c r="N20" s="26"/>
      <c r="O20" s="26"/>
      <c r="P20" s="26"/>
      <c r="Q20" s="26" t="s">
        <v>29</v>
      </c>
    </row>
    <row r="21" spans="3:17" ht="15.75" thickBot="1" x14ac:dyDescent="0.3">
      <c r="C21" s="19" t="s">
        <v>30</v>
      </c>
      <c r="D21" s="5" t="e">
        <f>+D19+D20</f>
        <v>#REF!</v>
      </c>
      <c r="E21" s="5" t="e">
        <f>+E19+E20</f>
        <v>#REF!</v>
      </c>
      <c r="F21" s="5">
        <f>+F19+F20</f>
        <v>29270.008182648402</v>
      </c>
      <c r="G21" s="5">
        <f>+G19</f>
        <v>12950</v>
      </c>
      <c r="H21" s="5">
        <f>+H19+H20</f>
        <v>29270.008182648402</v>
      </c>
      <c r="I21" s="5">
        <f>+I19+I20</f>
        <v>29270.008182648402</v>
      </c>
      <c r="J21" s="5"/>
      <c r="N21" s="27" t="s">
        <v>31</v>
      </c>
      <c r="O21" s="27" t="s">
        <v>31</v>
      </c>
      <c r="P21" s="27" t="s">
        <v>31</v>
      </c>
      <c r="Q21" s="27" t="s">
        <v>32</v>
      </c>
    </row>
    <row r="22" spans="3:17" ht="16.5" thickTop="1" thickBot="1" x14ac:dyDescent="0.3">
      <c r="C22" s="19" t="s">
        <v>33</v>
      </c>
      <c r="D22" s="28" t="e">
        <f>+P50</f>
        <v>#REF!</v>
      </c>
      <c r="E22" s="28" t="e">
        <f>+P55</f>
        <v>#REF!</v>
      </c>
      <c r="F22" s="28">
        <f>+P60</f>
        <v>4584.0767558136986</v>
      </c>
      <c r="G22" s="28"/>
      <c r="H22" s="28">
        <f>+P60</f>
        <v>4584.0767558136986</v>
      </c>
      <c r="I22" s="28">
        <f>+P70</f>
        <v>4584.0767558136986</v>
      </c>
      <c r="J22" s="28"/>
      <c r="N22" s="57">
        <v>1</v>
      </c>
      <c r="O22" s="58">
        <v>746.04</v>
      </c>
      <c r="P22" s="58">
        <v>0</v>
      </c>
      <c r="Q22" s="58">
        <v>1.92</v>
      </c>
    </row>
    <row r="23" spans="3:17" ht="15.75" thickBot="1" x14ac:dyDescent="0.3">
      <c r="C23" s="29" t="s">
        <v>34</v>
      </c>
      <c r="D23" s="5"/>
      <c r="E23" s="5"/>
      <c r="F23" s="5"/>
      <c r="G23" s="5"/>
      <c r="H23" s="5"/>
      <c r="I23" s="5"/>
      <c r="J23" s="5"/>
      <c r="N23" s="57">
        <v>746.05</v>
      </c>
      <c r="O23" s="59">
        <v>6332.05</v>
      </c>
      <c r="P23" s="58">
        <v>14.32</v>
      </c>
      <c r="Q23" s="58">
        <v>6.4</v>
      </c>
    </row>
    <row r="24" spans="3:17" ht="15.75" thickBot="1" x14ac:dyDescent="0.3">
      <c r="C24" s="19" t="s">
        <v>35</v>
      </c>
      <c r="D24" s="5">
        <f>+D19</f>
        <v>52266</v>
      </c>
      <c r="E24" s="5">
        <f>+E19</f>
        <v>29176</v>
      </c>
      <c r="F24" s="5">
        <f>+F19</f>
        <v>29176</v>
      </c>
      <c r="G24" s="5"/>
      <c r="H24" s="5">
        <f>+H19</f>
        <v>29176</v>
      </c>
      <c r="I24" s="5">
        <f>+I19</f>
        <v>29176</v>
      </c>
      <c r="J24" s="5"/>
      <c r="N24" s="56">
        <v>6332.06</v>
      </c>
      <c r="O24" s="59">
        <v>11128.01</v>
      </c>
      <c r="P24" s="58">
        <v>371.83</v>
      </c>
      <c r="Q24" s="58">
        <v>10.88</v>
      </c>
    </row>
    <row r="25" spans="3:17" ht="15.75" thickBot="1" x14ac:dyDescent="0.3">
      <c r="C25" s="19" t="s">
        <v>36</v>
      </c>
      <c r="D25" s="5">
        <f>+D24</f>
        <v>52266</v>
      </c>
      <c r="E25" s="5">
        <f>+E24</f>
        <v>29176</v>
      </c>
      <c r="F25" s="5">
        <f>+F24</f>
        <v>29176</v>
      </c>
      <c r="G25" s="5"/>
      <c r="H25" s="5">
        <f>+H24</f>
        <v>29176</v>
      </c>
      <c r="I25" s="5">
        <f>+I24</f>
        <v>29176</v>
      </c>
      <c r="J25" s="5"/>
      <c r="N25" s="56">
        <v>11128.02</v>
      </c>
      <c r="O25" s="59">
        <v>12935.82</v>
      </c>
      <c r="P25" s="58">
        <v>893.63</v>
      </c>
      <c r="Q25" s="58">
        <v>16</v>
      </c>
    </row>
    <row r="26" spans="3:17" ht="15.75" thickBot="1" x14ac:dyDescent="0.3">
      <c r="C26" s="19" t="s">
        <v>33</v>
      </c>
      <c r="D26" s="30">
        <f>+L49</f>
        <v>10146.786999999998</v>
      </c>
      <c r="E26" s="30">
        <f>+L55</f>
        <v>4584.0767558136986</v>
      </c>
      <c r="F26" s="30">
        <f>+L60</f>
        <v>4563.9966080000004</v>
      </c>
      <c r="G26" s="30"/>
      <c r="H26" s="30">
        <f>+L65</f>
        <v>4563.9966080000004</v>
      </c>
      <c r="I26" s="30" t="e">
        <f>+L70</f>
        <v>#REF!</v>
      </c>
      <c r="J26" s="30"/>
      <c r="N26" s="56">
        <v>12935.83</v>
      </c>
      <c r="O26" s="59">
        <v>15487.71</v>
      </c>
      <c r="P26" s="59">
        <v>1182.8800000000001</v>
      </c>
      <c r="Q26" s="58">
        <v>17.920000000000002</v>
      </c>
    </row>
    <row r="27" spans="3:17" ht="15.75" thickBot="1" x14ac:dyDescent="0.3">
      <c r="C27" s="29" t="s">
        <v>37</v>
      </c>
      <c r="D27" s="5"/>
      <c r="E27" s="5"/>
      <c r="F27" s="5"/>
      <c r="G27" s="5"/>
      <c r="H27" s="5"/>
      <c r="I27" s="5"/>
      <c r="J27" s="5"/>
      <c r="N27" s="56">
        <v>15487.72</v>
      </c>
      <c r="O27" s="59">
        <v>31236.49</v>
      </c>
      <c r="P27" s="59">
        <v>1640.18</v>
      </c>
      <c r="Q27" s="58">
        <v>21.36</v>
      </c>
    </row>
    <row r="28" spans="3:17" ht="15.75" thickBot="1" x14ac:dyDescent="0.3">
      <c r="C28" s="19" t="s">
        <v>38</v>
      </c>
      <c r="D28" s="28" t="e">
        <f>+D22</f>
        <v>#REF!</v>
      </c>
      <c r="E28" s="28" t="e">
        <f>+E22</f>
        <v>#REF!</v>
      </c>
      <c r="F28" s="28">
        <f>+F22</f>
        <v>4584.0767558136986</v>
      </c>
      <c r="G28" s="28"/>
      <c r="H28" s="28">
        <f>+H22</f>
        <v>4584.0767558136986</v>
      </c>
      <c r="I28" s="28">
        <f>+I22</f>
        <v>4584.0767558136986</v>
      </c>
      <c r="J28" s="28"/>
      <c r="N28" s="56">
        <v>31236.5</v>
      </c>
      <c r="O28" s="59">
        <v>49233</v>
      </c>
      <c r="P28" s="59">
        <v>5004.12</v>
      </c>
      <c r="Q28" s="58">
        <v>23.52</v>
      </c>
    </row>
    <row r="29" spans="3:17" ht="15.75" thickBot="1" x14ac:dyDescent="0.3">
      <c r="C29" s="19" t="s">
        <v>39</v>
      </c>
      <c r="D29" s="30">
        <f>+D26</f>
        <v>10146.786999999998</v>
      </c>
      <c r="E29" s="30">
        <f>+E26</f>
        <v>4584.0767558136986</v>
      </c>
      <c r="F29" s="30">
        <f>+F26</f>
        <v>4563.9966080000004</v>
      </c>
      <c r="G29" s="30"/>
      <c r="H29" s="30">
        <f>+H26</f>
        <v>4563.9966080000004</v>
      </c>
      <c r="I29" s="30">
        <f>+H29</f>
        <v>4563.9966080000004</v>
      </c>
      <c r="J29" s="30"/>
      <c r="N29" s="56">
        <v>49233.01</v>
      </c>
      <c r="O29" s="59">
        <v>93993.9</v>
      </c>
      <c r="P29" s="59">
        <v>9236.89</v>
      </c>
      <c r="Q29" s="58">
        <v>30</v>
      </c>
    </row>
    <row r="30" spans="3:17" ht="15.75" thickBot="1" x14ac:dyDescent="0.3">
      <c r="C30" s="19" t="s">
        <v>40</v>
      </c>
      <c r="D30" s="5" t="e">
        <f>+D28-D29</f>
        <v>#REF!</v>
      </c>
      <c r="E30" s="5" t="e">
        <f>+E28-E29</f>
        <v>#REF!</v>
      </c>
      <c r="F30" s="5">
        <f>+F28-F29</f>
        <v>20.080147813698204</v>
      </c>
      <c r="G30" s="5"/>
      <c r="H30" s="5">
        <f>+H28-H29</f>
        <v>20.080147813698204</v>
      </c>
      <c r="I30" s="5">
        <f>+I28-I29</f>
        <v>20.080147813698204</v>
      </c>
      <c r="J30" s="5"/>
      <c r="N30" s="56">
        <v>93993.91</v>
      </c>
      <c r="O30" s="59">
        <v>125325.2</v>
      </c>
      <c r="P30" s="59">
        <v>22665.17</v>
      </c>
      <c r="Q30" s="58">
        <v>32</v>
      </c>
    </row>
    <row r="31" spans="3:17" ht="15.75" thickBot="1" x14ac:dyDescent="0.3">
      <c r="C31" s="19" t="s">
        <v>55</v>
      </c>
      <c r="D31" s="5" t="e">
        <f>+D15</f>
        <v>#REF!</v>
      </c>
      <c r="E31" s="5" t="e">
        <f>+E15</f>
        <v>#REF!</v>
      </c>
      <c r="F31" s="5">
        <f>+F15</f>
        <v>94.008182648401743</v>
      </c>
      <c r="G31" s="5"/>
      <c r="H31" s="5">
        <f>+H15</f>
        <v>94.008182648401743</v>
      </c>
      <c r="I31" s="5">
        <f>+I15</f>
        <v>94.008182648401743</v>
      </c>
      <c r="J31" s="5"/>
      <c r="N31" s="56">
        <v>125325.21</v>
      </c>
      <c r="O31" s="59">
        <v>375975.61</v>
      </c>
      <c r="P31" s="59">
        <v>32691.18</v>
      </c>
      <c r="Q31" s="58">
        <v>34</v>
      </c>
    </row>
    <row r="32" spans="3:17" ht="15.75" thickBot="1" x14ac:dyDescent="0.3">
      <c r="C32" s="19" t="s">
        <v>41</v>
      </c>
      <c r="D32" s="31" t="e">
        <f>+D30/D31</f>
        <v>#REF!</v>
      </c>
      <c r="E32" s="31">
        <v>0</v>
      </c>
      <c r="F32" s="31">
        <f>+F30/F31</f>
        <v>0.21359999999999565</v>
      </c>
      <c r="G32" s="31"/>
      <c r="H32" s="31">
        <f>+H30/H31</f>
        <v>0.21359999999999565</v>
      </c>
      <c r="I32" s="31">
        <f>+I30/I31</f>
        <v>0.21359999999999565</v>
      </c>
      <c r="J32" s="31"/>
      <c r="N32" s="56">
        <v>375975.62</v>
      </c>
      <c r="O32" s="58" t="s">
        <v>42</v>
      </c>
      <c r="P32" s="59">
        <v>117912.32000000001</v>
      </c>
      <c r="Q32" s="58">
        <v>35</v>
      </c>
    </row>
    <row r="33" spans="3:16" x14ac:dyDescent="0.25">
      <c r="C33" s="29" t="s">
        <v>43</v>
      </c>
      <c r="D33" s="5"/>
      <c r="E33" s="5"/>
      <c r="F33" s="5"/>
      <c r="G33" s="5"/>
      <c r="H33" s="5"/>
      <c r="I33" s="5"/>
      <c r="J33" s="5"/>
      <c r="N33" s="32"/>
    </row>
    <row r="34" spans="3:16" x14ac:dyDescent="0.25">
      <c r="C34" s="19" t="s">
        <v>56</v>
      </c>
      <c r="D34" s="5" t="e">
        <f>+D11</f>
        <v>#REF!</v>
      </c>
      <c r="E34" s="5" t="e">
        <f>+E11</f>
        <v>#REF!</v>
      </c>
      <c r="F34" s="5">
        <f>+F11</f>
        <v>1128.7166666666658</v>
      </c>
      <c r="G34" s="5"/>
      <c r="H34" s="5">
        <f>+H11</f>
        <v>1128.7166666666658</v>
      </c>
      <c r="I34" s="5">
        <f>+I11</f>
        <v>1128.7166666666658</v>
      </c>
      <c r="J34" s="5"/>
    </row>
    <row r="35" spans="3:16" x14ac:dyDescent="0.25">
      <c r="C35" s="19" t="s">
        <v>44</v>
      </c>
      <c r="D35" s="33" t="e">
        <f>+D32</f>
        <v>#REF!</v>
      </c>
      <c r="E35" s="33">
        <f>+E32</f>
        <v>0</v>
      </c>
      <c r="F35" s="33">
        <f>+F32</f>
        <v>0.21359999999999565</v>
      </c>
      <c r="G35" s="33"/>
      <c r="H35" s="33">
        <f>+H32</f>
        <v>0.21359999999999565</v>
      </c>
      <c r="I35" s="33">
        <f>+I32</f>
        <v>0.21359999999999565</v>
      </c>
      <c r="J35" s="33"/>
    </row>
    <row r="36" spans="3:16" ht="18.75" x14ac:dyDescent="0.3">
      <c r="C36" s="19" t="s">
        <v>45</v>
      </c>
      <c r="D36" s="34" t="e">
        <f>+D34*D35</f>
        <v>#REF!</v>
      </c>
      <c r="E36" s="34" t="e">
        <f>+E34*E35</f>
        <v>#REF!</v>
      </c>
      <c r="F36" s="34">
        <f>+F34*F35</f>
        <v>241.0938799999949</v>
      </c>
      <c r="G36" s="34"/>
      <c r="H36" s="34">
        <f>+H34*H35</f>
        <v>241.0938799999949</v>
      </c>
      <c r="I36" s="34">
        <f>+I34*I35</f>
        <v>241.0938799999949</v>
      </c>
      <c r="J36" s="34"/>
      <c r="K36" s="21" t="e">
        <f>SUM(D36:I36)</f>
        <v>#REF!</v>
      </c>
    </row>
    <row r="37" spans="3:16" ht="13.5" customHeight="1" x14ac:dyDescent="0.25">
      <c r="D37" s="5"/>
    </row>
    <row r="38" spans="3:16" ht="6" customHeight="1" thickBot="1" x14ac:dyDescent="0.35">
      <c r="C38" s="35"/>
      <c r="D38" s="36"/>
      <c r="E38" s="37"/>
      <c r="F38" s="37"/>
      <c r="G38" s="37"/>
      <c r="H38" s="37"/>
      <c r="I38" s="37"/>
      <c r="J38" s="37"/>
      <c r="K38" s="38"/>
    </row>
    <row r="39" spans="3:16" ht="18.75" x14ac:dyDescent="0.3">
      <c r="D39" s="34"/>
      <c r="E39" s="34"/>
      <c r="F39" s="34"/>
      <c r="G39" s="34"/>
      <c r="H39" s="34"/>
      <c r="I39" s="34"/>
      <c r="J39" s="34"/>
      <c r="K39" s="21" t="e">
        <f>+K9-K36</f>
        <v>#REF!</v>
      </c>
    </row>
    <row r="40" spans="3:16" x14ac:dyDescent="0.25">
      <c r="D40" s="5"/>
    </row>
    <row r="46" spans="3:16" x14ac:dyDescent="0.25">
      <c r="C46" s="51" t="s">
        <v>47</v>
      </c>
    </row>
    <row r="47" spans="3:16" x14ac:dyDescent="0.25">
      <c r="C47" t="s">
        <v>50</v>
      </c>
      <c r="D47" s="61">
        <f>50/365*1742.2*60</f>
        <v>14319.452054794519</v>
      </c>
      <c r="I47" s="60">
        <f>+D24</f>
        <v>52266</v>
      </c>
      <c r="J47" s="22"/>
      <c r="L47" s="39">
        <f>+P29</f>
        <v>9236.89</v>
      </c>
      <c r="N47" s="28" t="e">
        <f>+D21</f>
        <v>#REF!</v>
      </c>
    </row>
    <row r="48" spans="3:16" ht="15.75" thickBot="1" x14ac:dyDescent="0.3">
      <c r="C48" t="s">
        <v>51</v>
      </c>
      <c r="D48" s="42">
        <f>50/365*215*1742.2</f>
        <v>51311.369863013693</v>
      </c>
      <c r="E48" s="55">
        <f>SUM(D47:D48)</f>
        <v>65630.821917808207</v>
      </c>
      <c r="F48" s="5">
        <f>50/365*90*1742.2</f>
        <v>21479.178082191782</v>
      </c>
      <c r="I48" s="40">
        <f>+N29</f>
        <v>49233.01</v>
      </c>
      <c r="J48" s="39"/>
      <c r="L48" s="41">
        <f>I49*K49</f>
        <v>909.89699999999937</v>
      </c>
      <c r="N48" s="42">
        <f>+N29</f>
        <v>49233.01</v>
      </c>
      <c r="P48" s="39">
        <f>+P29</f>
        <v>9236.89</v>
      </c>
    </row>
    <row r="49" spans="3:16" ht="15.75" thickBot="1" x14ac:dyDescent="0.3">
      <c r="E49" s="22">
        <f>87110-E48</f>
        <v>21479.178082191793</v>
      </c>
      <c r="I49" s="22">
        <f>I47-I48</f>
        <v>3032.989999999998</v>
      </c>
      <c r="J49" s="22"/>
      <c r="K49" s="44">
        <v>0.3</v>
      </c>
      <c r="L49" s="22">
        <f>L47+L48</f>
        <v>10146.786999999998</v>
      </c>
      <c r="N49" s="5" t="e">
        <f>+N47-N48</f>
        <v>#REF!</v>
      </c>
      <c r="O49">
        <v>0.3</v>
      </c>
      <c r="P49" s="42" t="e">
        <f>+N49*O49</f>
        <v>#REF!</v>
      </c>
    </row>
    <row r="50" spans="3:16" ht="15.75" thickBot="1" x14ac:dyDescent="0.3">
      <c r="C50" t="s">
        <v>48</v>
      </c>
      <c r="D50" s="62">
        <f>5/365*1742.2*275</f>
        <v>6563.0821917808216</v>
      </c>
      <c r="L50" s="5">
        <f>+L49/2</f>
        <v>5073.3934999999992</v>
      </c>
      <c r="P50" s="22" t="e">
        <f>+P48+P49</f>
        <v>#REF!</v>
      </c>
    </row>
    <row r="51" spans="3:16" x14ac:dyDescent="0.25">
      <c r="D51" s="22">
        <f>SUM(D47:D50)</f>
        <v>72193.904109589028</v>
      </c>
    </row>
    <row r="53" spans="3:16" x14ac:dyDescent="0.25">
      <c r="C53" s="50" t="s">
        <v>1</v>
      </c>
      <c r="I53" s="60">
        <f>+F21</f>
        <v>29270.008182648402</v>
      </c>
      <c r="J53" s="22"/>
      <c r="L53" s="39">
        <f>+P27</f>
        <v>1640.18</v>
      </c>
      <c r="N53" s="53" t="e">
        <f>+E21</f>
        <v>#REF!</v>
      </c>
      <c r="P53" s="39">
        <f>+P27</f>
        <v>1640.18</v>
      </c>
    </row>
    <row r="54" spans="3:16" ht="15.75" thickBot="1" x14ac:dyDescent="0.3">
      <c r="C54" t="s">
        <v>50</v>
      </c>
      <c r="D54" s="5">
        <f>50/365*972.53*60</f>
        <v>7993.3972602739723</v>
      </c>
      <c r="I54" s="40">
        <f>+N27</f>
        <v>15487.72</v>
      </c>
      <c r="J54" s="39"/>
      <c r="L54" s="43">
        <f>I55*K55</f>
        <v>2943.8967558136987</v>
      </c>
      <c r="N54" s="40">
        <f>+N27</f>
        <v>15487.72</v>
      </c>
      <c r="O54">
        <v>0.21360000000000001</v>
      </c>
      <c r="P54" s="41" t="e">
        <f>N55*O54</f>
        <v>#REF!</v>
      </c>
    </row>
    <row r="55" spans="3:16" x14ac:dyDescent="0.25">
      <c r="C55" t="s">
        <v>52</v>
      </c>
      <c r="D55" s="5">
        <f>50/365*90*1742.2</f>
        <v>21479.178082191782</v>
      </c>
      <c r="I55" s="39">
        <f>I53-I54</f>
        <v>13782.288182648403</v>
      </c>
      <c r="J55" s="39"/>
      <c r="K55">
        <f>+O54</f>
        <v>0.21360000000000001</v>
      </c>
      <c r="L55" s="39">
        <f>L53+L54</f>
        <v>4584.0767558136986</v>
      </c>
      <c r="N55" s="22" t="e">
        <f>N53-N54</f>
        <v>#REF!</v>
      </c>
      <c r="P55" s="22" t="e">
        <f>P53+P54</f>
        <v>#REF!</v>
      </c>
    </row>
    <row r="56" spans="3:16" ht="15.75" thickBot="1" x14ac:dyDescent="0.3">
      <c r="C56" t="s">
        <v>51</v>
      </c>
      <c r="D56" s="42">
        <f>50/365*215*972.53</f>
        <v>28643.006849315065</v>
      </c>
      <c r="E56" s="55">
        <f>SUM(D54:D56)</f>
        <v>58115.582191780821</v>
      </c>
      <c r="L56" s="5">
        <f>+L55/2</f>
        <v>2292.0383779068493</v>
      </c>
    </row>
    <row r="57" spans="3:16" x14ac:dyDescent="0.25">
      <c r="E57" s="22">
        <f>48626.67-E56</f>
        <v>-9488.9121917808225</v>
      </c>
    </row>
    <row r="58" spans="3:16" x14ac:dyDescent="0.25">
      <c r="C58" t="s">
        <v>49</v>
      </c>
      <c r="D58" s="28">
        <f>5/365*972.53*275</f>
        <v>3663.6404109589039</v>
      </c>
      <c r="I58" s="60">
        <f>+F24</f>
        <v>29176</v>
      </c>
      <c r="J58" s="22"/>
      <c r="L58" s="39">
        <f>+P58</f>
        <v>1640.18</v>
      </c>
      <c r="N58" s="53">
        <f>+F21</f>
        <v>29270.008182648402</v>
      </c>
      <c r="P58" s="39">
        <f>+P53</f>
        <v>1640.18</v>
      </c>
    </row>
    <row r="59" spans="3:16" ht="15.75" thickBot="1" x14ac:dyDescent="0.3">
      <c r="D59" s="54">
        <f>5/365*90*1742.2</f>
        <v>2147.9178082191784</v>
      </c>
      <c r="I59" s="40">
        <f>+N59</f>
        <v>15487.72</v>
      </c>
      <c r="J59" s="39"/>
      <c r="L59" s="42">
        <f>I60*K60</f>
        <v>2923.8166080000001</v>
      </c>
      <c r="N59" s="42">
        <f>+N54</f>
        <v>15487.72</v>
      </c>
      <c r="P59" s="41">
        <f>N60*O60</f>
        <v>2943.8967558136987</v>
      </c>
    </row>
    <row r="60" spans="3:16" x14ac:dyDescent="0.25">
      <c r="D60" s="53">
        <f>SUM(D58:D59)</f>
        <v>5811.5582191780823</v>
      </c>
      <c r="I60" s="39">
        <f>I58-I59</f>
        <v>13688.28</v>
      </c>
      <c r="J60" s="39"/>
      <c r="K60">
        <f>+O60</f>
        <v>0.21360000000000001</v>
      </c>
      <c r="L60" s="39">
        <f>L58+L59</f>
        <v>4563.9966080000004</v>
      </c>
      <c r="N60" s="22">
        <f>N58-N59</f>
        <v>13782.288182648403</v>
      </c>
      <c r="O60">
        <v>0.21360000000000001</v>
      </c>
      <c r="P60" s="22">
        <f>P58+P59</f>
        <v>4584.0767558136986</v>
      </c>
    </row>
    <row r="62" spans="3:16" x14ac:dyDescent="0.25">
      <c r="G62" s="22"/>
    </row>
    <row r="63" spans="3:16" x14ac:dyDescent="0.25">
      <c r="I63" s="60">
        <v>29176</v>
      </c>
      <c r="J63" s="22"/>
      <c r="L63" s="39">
        <f>+P27</f>
        <v>1640.18</v>
      </c>
      <c r="N63" s="22">
        <f>+H21</f>
        <v>29270.008182648402</v>
      </c>
      <c r="P63" s="39">
        <f>+P48</f>
        <v>9236.89</v>
      </c>
    </row>
    <row r="64" spans="3:16" ht="15.75" thickBot="1" x14ac:dyDescent="0.3">
      <c r="I64" s="41">
        <f>+N27</f>
        <v>15487.72</v>
      </c>
      <c r="J64" s="22"/>
      <c r="L64" s="41">
        <f>I65*K65</f>
        <v>2923.8166080000001</v>
      </c>
      <c r="N64" s="41">
        <f>+N48</f>
        <v>49233.01</v>
      </c>
      <c r="P64" s="41">
        <f>N65*O65</f>
        <v>-5988.9005452054798</v>
      </c>
    </row>
    <row r="65" spans="3:16" x14ac:dyDescent="0.25">
      <c r="C65" s="52" t="s">
        <v>0</v>
      </c>
      <c r="I65" s="22">
        <f>I63-I64</f>
        <v>13688.28</v>
      </c>
      <c r="J65" s="22"/>
      <c r="K65">
        <v>0.21360000000000001</v>
      </c>
      <c r="L65" s="22">
        <f>L63+L64</f>
        <v>4563.9966080000004</v>
      </c>
      <c r="N65" s="22">
        <f>N63-N64</f>
        <v>-19963.0018173516</v>
      </c>
      <c r="O65">
        <f>+O49</f>
        <v>0.3</v>
      </c>
      <c r="P65" s="22">
        <f>P63+P64</f>
        <v>3247.9894547945196</v>
      </c>
    </row>
    <row r="66" spans="3:16" x14ac:dyDescent="0.25">
      <c r="C66" t="s">
        <v>50</v>
      </c>
      <c r="D66" s="5">
        <f>50/365*782.93*60</f>
        <v>6435.0410958904104</v>
      </c>
    </row>
    <row r="67" spans="3:16" x14ac:dyDescent="0.25">
      <c r="C67" t="s">
        <v>52</v>
      </c>
      <c r="D67" s="5">
        <f>50/365*90*972.53</f>
        <v>11990.095890410958</v>
      </c>
      <c r="G67" s="22">
        <f>+G68-F68</f>
        <v>9653.2883105023066</v>
      </c>
    </row>
    <row r="68" spans="3:16" ht="15.75" thickBot="1" x14ac:dyDescent="0.3">
      <c r="C68" t="s">
        <v>51</v>
      </c>
      <c r="D68" s="42">
        <f>50/365*215*782.93</f>
        <v>23058.89726027397</v>
      </c>
      <c r="E68" s="55">
        <f>SUM(D66:D68)</f>
        <v>41484.034246575335</v>
      </c>
      <c r="F68" s="22">
        <f>+E48+E56+E68+48626.67+48626.67+48626.27+21583.33</f>
        <v>332693.37835616438</v>
      </c>
      <c r="G68" s="22">
        <f>+[1]AGUINALDO!$K$10</f>
        <v>342346.66666666669</v>
      </c>
      <c r="I68" s="60" t="e">
        <f>+E21</f>
        <v>#REF!</v>
      </c>
      <c r="J68" s="22"/>
      <c r="L68" s="44">
        <f>+P68</f>
        <v>1640.18</v>
      </c>
      <c r="N68" s="45">
        <f>+I21</f>
        <v>29270.008182648402</v>
      </c>
      <c r="O68" s="45"/>
      <c r="P68" s="45">
        <f>+P58</f>
        <v>1640.18</v>
      </c>
    </row>
    <row r="69" spans="3:16" ht="15.75" thickBot="1" x14ac:dyDescent="0.3">
      <c r="E69" s="22">
        <f>39146.67-E68</f>
        <v>-2337.3642465753364</v>
      </c>
      <c r="I69" s="42">
        <f>+N69</f>
        <v>15487.72</v>
      </c>
      <c r="J69" s="44"/>
      <c r="L69" s="42" t="e">
        <f>I70*K70</f>
        <v>#REF!</v>
      </c>
      <c r="N69" s="46">
        <f>+N59</f>
        <v>15487.72</v>
      </c>
      <c r="O69" s="45"/>
      <c r="P69" s="46">
        <f>N70*O70</f>
        <v>2943.8967558136987</v>
      </c>
    </row>
    <row r="70" spans="3:16" x14ac:dyDescent="0.25">
      <c r="C70" t="s">
        <v>49</v>
      </c>
      <c r="D70" s="28">
        <f>5/365*782.93*275</f>
        <v>2949.3938356164381</v>
      </c>
      <c r="I70" s="44" t="e">
        <f>I68-I69</f>
        <v>#REF!</v>
      </c>
      <c r="J70" s="44"/>
      <c r="K70" s="47">
        <f>+O70</f>
        <v>0.21360000000000001</v>
      </c>
      <c r="L70" s="44" t="e">
        <f>L68+L69</f>
        <v>#REF!</v>
      </c>
      <c r="N70" s="45">
        <f>N68-N69</f>
        <v>13782.288182648403</v>
      </c>
      <c r="O70" s="48">
        <v>0.21360000000000001</v>
      </c>
      <c r="P70" s="45">
        <f>P68+P69</f>
        <v>4584.0767558136986</v>
      </c>
    </row>
    <row r="71" spans="3:16" ht="15.75" thickBot="1" x14ac:dyDescent="0.3">
      <c r="D71" s="54">
        <f>5/365*90*972.53</f>
        <v>1199.009589041096</v>
      </c>
    </row>
    <row r="72" spans="3:16" x14ac:dyDescent="0.25">
      <c r="D72" s="53">
        <f>+D70+D71</f>
        <v>4148.4034246575338</v>
      </c>
    </row>
    <row r="77" spans="3:16" x14ac:dyDescent="0.25">
      <c r="D77" s="22">
        <f>+D50+D60+D72+4862.67+4862.67+4862.67+2158.33</f>
        <v>33269.383835616434</v>
      </c>
    </row>
    <row r="78" spans="3:16" x14ac:dyDescent="0.25">
      <c r="D78" s="22">
        <f>+[1]VACACIONES!$K$9</f>
        <v>34234.666666666657</v>
      </c>
    </row>
    <row r="79" spans="3:16" x14ac:dyDescent="0.25">
      <c r="C79" t="s">
        <v>59</v>
      </c>
      <c r="D79" s="22">
        <f>+D77-D78</f>
        <v>-965.28283105022274</v>
      </c>
      <c r="E79" s="5">
        <f>5/365*90*782.93</f>
        <v>965.25616438356167</v>
      </c>
    </row>
    <row r="81" spans="3:8" x14ac:dyDescent="0.25">
      <c r="E81" t="s">
        <v>60</v>
      </c>
    </row>
    <row r="82" spans="3:8" x14ac:dyDescent="0.25">
      <c r="C82" t="s">
        <v>62</v>
      </c>
      <c r="D82" s="63">
        <f>+D47</f>
        <v>14319.452054794519</v>
      </c>
      <c r="E82" s="22">
        <f>+[1]AGUINALDO!$D$11</f>
        <v>3080.4</v>
      </c>
      <c r="F82" s="22">
        <f>+D82-E82</f>
        <v>11239.05205479452</v>
      </c>
    </row>
    <row r="83" spans="3:8" ht="15.75" thickBot="1" x14ac:dyDescent="0.3">
      <c r="C83" t="s">
        <v>61</v>
      </c>
      <c r="D83" s="63">
        <f>+D50</f>
        <v>6563.0821917808216</v>
      </c>
      <c r="E83" s="22">
        <f>+D10</f>
        <v>3733.9500000000003</v>
      </c>
      <c r="F83" s="41">
        <f>+D83-E83</f>
        <v>2829.1321917808214</v>
      </c>
    </row>
    <row r="84" spans="3:8" x14ac:dyDescent="0.25">
      <c r="F84" s="22">
        <f>+F82+F83</f>
        <v>14068.184246575342</v>
      </c>
    </row>
    <row r="85" spans="3:8" ht="15.75" thickBot="1" x14ac:dyDescent="0.3">
      <c r="F85" s="40">
        <f>+N24</f>
        <v>6332.06</v>
      </c>
      <c r="H85">
        <f>+P24</f>
        <v>371.83</v>
      </c>
    </row>
    <row r="86" spans="3:8" ht="15.75" thickBot="1" x14ac:dyDescent="0.3">
      <c r="F86" s="5">
        <f>+F84-F85</f>
        <v>7736.1242465753412</v>
      </c>
      <c r="G86" s="31">
        <v>0.10879999999999999</v>
      </c>
      <c r="H86" s="42">
        <f>+F86*G86</f>
        <v>841.6903180273971</v>
      </c>
    </row>
    <row r="87" spans="3:8" x14ac:dyDescent="0.25">
      <c r="H87" s="22">
        <f>+H85+H86</f>
        <v>1213.520318027397</v>
      </c>
    </row>
  </sheetData>
  <mergeCells count="2">
    <mergeCell ref="C4:I4"/>
    <mergeCell ref="C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2026-06-10T15:23:18Z</dcterms:modified>
</cp:coreProperties>
</file>